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24519"/>
</workbook>
</file>

<file path=xl/calcChain.xml><?xml version="1.0" encoding="utf-8"?>
<calcChain xmlns="http://schemas.openxmlformats.org/spreadsheetml/2006/main">
  <c r="V17" i="1"/>
  <c r="J6"/>
  <c r="M17" l="1"/>
  <c r="M16"/>
  <c r="M15"/>
  <c r="M14"/>
  <c r="M13"/>
  <c r="M12"/>
  <c r="M11"/>
  <c r="M10"/>
  <c r="M9"/>
  <c r="M8"/>
  <c r="M7" l="1"/>
  <c r="S6" l="1"/>
  <c r="R8" l="1"/>
  <c r="S12" l="1"/>
  <c r="U7" l="1"/>
  <c r="W6"/>
  <c r="V6" s="1"/>
  <c r="T6" s="1"/>
  <c r="U6" l="1"/>
  <c r="R9" l="1"/>
  <c r="R11"/>
  <c r="R12"/>
  <c r="R13"/>
  <c r="R14"/>
  <c r="R15"/>
  <c r="R16"/>
  <c r="R17"/>
  <c r="R6"/>
  <c r="AA18"/>
  <c r="F18"/>
  <c r="H18"/>
  <c r="J7"/>
  <c r="J8"/>
  <c r="J9"/>
  <c r="J10"/>
  <c r="J11"/>
  <c r="J12"/>
  <c r="J13"/>
  <c r="J14"/>
  <c r="J15"/>
  <c r="J16"/>
  <c r="J17"/>
  <c r="J18"/>
  <c r="E24"/>
  <c r="D18"/>
  <c r="W17" l="1"/>
  <c r="W16"/>
  <c r="W15"/>
  <c r="W14"/>
  <c r="W13"/>
  <c r="W11"/>
  <c r="W10"/>
  <c r="W9"/>
  <c r="W8"/>
  <c r="V8" s="1"/>
  <c r="W7"/>
  <c r="V10" l="1"/>
  <c r="AB10" s="1"/>
  <c r="AC10"/>
  <c r="V13"/>
  <c r="AC13"/>
  <c r="V15"/>
  <c r="AB15" s="1"/>
  <c r="AC15"/>
  <c r="T17"/>
  <c r="AC17"/>
  <c r="V7"/>
  <c r="AB7" s="1"/>
  <c r="AC7"/>
  <c r="V9"/>
  <c r="AB9" s="1"/>
  <c r="AC9"/>
  <c r="V11"/>
  <c r="AB11" s="1"/>
  <c r="AC11"/>
  <c r="V14"/>
  <c r="AB14" s="1"/>
  <c r="AC14"/>
  <c r="V16"/>
  <c r="AC16"/>
  <c r="AC8"/>
  <c r="AB8"/>
  <c r="C17"/>
  <c r="C16"/>
  <c r="C15"/>
  <c r="C14"/>
  <c r="C13"/>
  <c r="C12"/>
  <c r="C11"/>
  <c r="C10"/>
  <c r="C8"/>
  <c r="C7"/>
  <c r="AB13" l="1"/>
  <c r="T13"/>
  <c r="AB16"/>
  <c r="T16"/>
  <c r="AB17"/>
  <c r="Y17"/>
  <c r="C9"/>
  <c r="C6"/>
  <c r="B18" l="1"/>
  <c r="C18"/>
  <c r="D24" l="1"/>
  <c r="D21"/>
  <c r="P18"/>
  <c r="I17"/>
  <c r="G17"/>
  <c r="I16"/>
  <c r="G16"/>
  <c r="I15"/>
  <c r="G15"/>
  <c r="I14"/>
  <c r="G14"/>
  <c r="I13"/>
  <c r="G13"/>
  <c r="O12"/>
  <c r="N12" s="1"/>
  <c r="X12" s="1"/>
  <c r="I12"/>
  <c r="G12"/>
  <c r="U11"/>
  <c r="Z11" s="1"/>
  <c r="O11"/>
  <c r="N11" s="1"/>
  <c r="X11" s="1"/>
  <c r="S11"/>
  <c r="I11"/>
  <c r="G11"/>
  <c r="U10"/>
  <c r="Z10" s="1"/>
  <c r="O10"/>
  <c r="N10" s="1"/>
  <c r="I10"/>
  <c r="G10"/>
  <c r="U9"/>
  <c r="Z9" s="1"/>
  <c r="N9"/>
  <c r="X9" s="1"/>
  <c r="S9"/>
  <c r="I9"/>
  <c r="G9"/>
  <c r="O8"/>
  <c r="N8" s="1"/>
  <c r="X8" s="1"/>
  <c r="I8"/>
  <c r="G8"/>
  <c r="Z7"/>
  <c r="O7"/>
  <c r="N7" s="1"/>
  <c r="I7"/>
  <c r="G7"/>
  <c r="Q6"/>
  <c r="AC6" s="1"/>
  <c r="I6"/>
  <c r="G6"/>
  <c r="E12" l="1"/>
  <c r="K12" s="1"/>
  <c r="E10"/>
  <c r="K10" s="1"/>
  <c r="E8"/>
  <c r="K8" s="1"/>
  <c r="G18"/>
  <c r="I18"/>
  <c r="S7"/>
  <c r="T7"/>
  <c r="R10"/>
  <c r="X10" s="1"/>
  <c r="S10"/>
  <c r="Q18"/>
  <c r="E7"/>
  <c r="K7" s="1"/>
  <c r="E9"/>
  <c r="K9" s="1"/>
  <c r="E11"/>
  <c r="K11" s="1"/>
  <c r="E13"/>
  <c r="K13" s="1"/>
  <c r="E14"/>
  <c r="K14" s="1"/>
  <c r="E15"/>
  <c r="K15" s="1"/>
  <c r="E16"/>
  <c r="K16" s="1"/>
  <c r="E17"/>
  <c r="K17" s="1"/>
  <c r="E6"/>
  <c r="T9"/>
  <c r="T11"/>
  <c r="Y11" s="1"/>
  <c r="T10"/>
  <c r="Y10" s="1"/>
  <c r="O13"/>
  <c r="N13" s="1"/>
  <c r="X13" s="1"/>
  <c r="Y7" l="1"/>
  <c r="R7"/>
  <c r="X7" s="1"/>
  <c r="Y9"/>
  <c r="E18"/>
  <c r="K6"/>
  <c r="K18" l="1"/>
  <c r="U13"/>
  <c r="Z13" s="1"/>
  <c r="S13"/>
  <c r="O16"/>
  <c r="N16" s="1"/>
  <c r="X16" s="1"/>
  <c r="Y13" l="1"/>
  <c r="U16" l="1"/>
  <c r="Z16" s="1"/>
  <c r="S16"/>
  <c r="Y16" l="1"/>
  <c r="O17" l="1"/>
  <c r="N17" s="1"/>
  <c r="X17" s="1"/>
  <c r="U17" l="1"/>
  <c r="Z17" s="1"/>
  <c r="S17"/>
  <c r="U8" l="1"/>
  <c r="Z8" s="1"/>
  <c r="S8"/>
  <c r="T8" l="1"/>
  <c r="Y8" s="1"/>
  <c r="O15" l="1"/>
  <c r="N15" s="1"/>
  <c r="X15" s="1"/>
  <c r="U15" l="1"/>
  <c r="Z15" s="1"/>
  <c r="S15"/>
  <c r="T15" l="1"/>
  <c r="Y15" s="1"/>
  <c r="O14" l="1"/>
  <c r="N14" s="1"/>
  <c r="X14" s="1"/>
  <c r="U14" l="1"/>
  <c r="Z14" s="1"/>
  <c r="S14"/>
  <c r="S18" s="1"/>
  <c r="T14" l="1"/>
  <c r="Y14" l="1"/>
  <c r="W12" l="1"/>
  <c r="V12" s="1"/>
  <c r="AC12" l="1"/>
  <c r="AC18" s="1"/>
  <c r="AB12"/>
  <c r="U12"/>
  <c r="Z12" s="1"/>
  <c r="T12" l="1"/>
  <c r="T18" s="1"/>
  <c r="Y12" l="1"/>
  <c r="O6"/>
  <c r="N6" s="1"/>
  <c r="X6" s="1"/>
  <c r="O18" l="1"/>
  <c r="N18" l="1"/>
  <c r="X18"/>
  <c r="AB6" l="1"/>
  <c r="AB18" s="1"/>
  <c r="Y6"/>
  <c r="Y18" s="1"/>
  <c r="V18"/>
  <c r="W18"/>
  <c r="W21" l="1"/>
  <c r="R18"/>
  <c r="M18"/>
  <c r="M21" l="1"/>
  <c r="L18"/>
  <c r="Z6" l="1"/>
  <c r="Z18" s="1"/>
  <c r="U18"/>
</calcChain>
</file>

<file path=xl/sharedStrings.xml><?xml version="1.0" encoding="utf-8"?>
<sst xmlns="http://schemas.openxmlformats.org/spreadsheetml/2006/main" count="26" uniqueCount="26">
  <si>
    <t>Білогір"я</t>
  </si>
  <si>
    <t>Жемелинці</t>
  </si>
  <si>
    <t>Мокроволя</t>
  </si>
  <si>
    <t>Квітневе</t>
  </si>
  <si>
    <t>Соснівка</t>
  </si>
  <si>
    <t>Окіп</t>
  </si>
  <si>
    <t>Гулівці</t>
  </si>
  <si>
    <t>Юрівка</t>
  </si>
  <si>
    <t>карасиха</t>
  </si>
  <si>
    <t>Кащенці</t>
  </si>
  <si>
    <t>Ставищани</t>
  </si>
  <si>
    <t>Сивки</t>
  </si>
  <si>
    <t>Всього</t>
  </si>
  <si>
    <t>в т ч спецфонд</t>
  </si>
  <si>
    <t>дер бюджет</t>
  </si>
  <si>
    <t>місцевий</t>
  </si>
  <si>
    <t>обслугов</t>
  </si>
  <si>
    <t>2020 спец</t>
  </si>
  <si>
    <t>2019 спец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</si>
  <si>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</si>
  <si>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</si>
  <si>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3000                                                               ( капітальні видатки)</t>
  </si>
  <si>
    <t>загальний фонд</t>
  </si>
  <si>
    <t>2270                                  (енергоносії)</t>
  </si>
  <si>
    <t>2100                                       (оплата праці)</t>
  </si>
  <si>
    <t>2000                                            (поточні видатки)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</si>
</sst>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000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0" fillId="4" borderId="2" xfId="0" applyFill="1" applyBorder="1"/>
    <xf numFmtId="3" fontId="0" fillId="4" borderId="2" xfId="0" applyNumberFormat="1" applyFill="1" applyBorder="1"/>
    <xf numFmtId="4" fontId="0" fillId="4" borderId="1" xfId="0" applyNumberFormat="1" applyFill="1" applyBorder="1"/>
    <xf numFmtId="4" fontId="0" fillId="4" borderId="0" xfId="0" applyNumberFormat="1" applyFill="1"/>
    <xf numFmtId="0" fontId="0" fillId="4" borderId="0" xfId="0" applyFill="1"/>
    <xf numFmtId="3" fontId="1" fillId="4" borderId="2" xfId="0" applyNumberFormat="1" applyFont="1" applyFill="1" applyBorder="1"/>
    <xf numFmtId="0" fontId="2" fillId="5" borderId="0" xfId="0" applyFont="1" applyFill="1"/>
    <xf numFmtId="0" fontId="2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1" fillId="3" borderId="2" xfId="0" applyNumberFormat="1" applyFont="1" applyFill="1" applyBorder="1"/>
    <xf numFmtId="4" fontId="1" fillId="3" borderId="2" xfId="0" applyNumberFormat="1" applyFont="1" applyFill="1" applyBorder="1"/>
    <xf numFmtId="3" fontId="2" fillId="4" borderId="0" xfId="0" applyNumberFormat="1" applyFont="1" applyFill="1"/>
    <xf numFmtId="3" fontId="3" fillId="3" borderId="0" xfId="0" applyNumberFormat="1" applyFont="1" applyFill="1"/>
    <xf numFmtId="0" fontId="2" fillId="4" borderId="0" xfId="0" applyFont="1" applyFill="1"/>
    <xf numFmtId="4" fontId="1" fillId="4" borderId="0" xfId="0" applyNumberFormat="1" applyFont="1" applyFill="1"/>
    <xf numFmtId="0" fontId="2" fillId="4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8;&#1072;&#1088;&#1080;&#1092;&#1110;&#1082;&#1072;&#1094;&#111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0;&#1072;&#1088;&#1072;&#1089;&#1080;&#1093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0;&#1072;&#1097;&#1077;&#1085;&#1077;&#1094;&#1100;&#1082;&#1080;&#1081;%20&#1083;&#1110;&#1094;&#1077;&#108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7;&#1090;&#1072;&#1074;&#1080;&#1097;&#1072;&#1085;&#108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7;&#1080;&#1074;&#1082;&#1110;&#1074;&#1089;&#1100;&#1082;&#1072;%20&#1075;&#1110;&#1084;&#1085;&#1072;&#1079;&#111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41;&#1110;&#1083;&#1086;&#1075;&#1110;&#1088;&#1089;&#1100;&#1082;&#1080;&#1081;%20&#1083;&#1110;&#1094;&#1077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46;&#1077;&#1084;&#1077;&#1083;&#1080;&#1085;&#1094;&#111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2;&#1086;&#1082;&#1088;&#1086;&#1074;&#1086;&#1083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0;&#1074;&#1110;&#1090;&#1085;&#1077;&#1074;&#1089;&#1100;&#1082;&#1080;&#1081;%20&#1083;&#1110;&#1094;&#1077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7;&#1086;&#1089;&#1085;&#1110;&#1074;&#1089;&#1100;&#1082;&#1072;%20&#1075;&#1110;&#1084;&#1085;&#1072;&#1079;&#111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54;&#1082;&#1110;&#108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43;&#1091;&#1083;&#1110;&#1074;&#1077;&#1094;&#1100;&#1082;&#1080;&#1081;%20&#1083;&#1110;&#1094;&#1077;&#108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AppData/Local/Temp/&#1052;&#1054;&#1071;/&#1050;&#1054;&#1064;&#1058;&#1054;&#1056;&#1048;&#1057;&#1048;%20&#1096;&#1082;&#1086;&#1083;&#1080;%202020/&#1070;&#1088;&#1086;&#1074;&#1077;&#1094;&#1100;&#1082;&#1080;&#1081;%20&#1083;&#1110;&#1094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оснівка"/>
      <sheetName val="Кащенці"/>
      <sheetName val="Юрівка"/>
      <sheetName val="Гулівці"/>
      <sheetName val="Квітневе"/>
      <sheetName val="Сивки"/>
      <sheetName val="Окіп"/>
      <sheetName val="Карасиха"/>
      <sheetName val="Ставищани"/>
      <sheetName val="Жемелинці"/>
      <sheetName val="Мокроволя"/>
      <sheetName val="Білогір&quot;я"/>
      <sheetName val="спец"/>
      <sheetName val="обслуг"/>
      <sheetName val="Лист2"/>
    </sheetNames>
    <sheetDataSet>
      <sheetData sheetId="0">
        <row r="5">
          <cell r="I5">
            <v>8091558</v>
          </cell>
          <cell r="J5">
            <v>1786807.7763246</v>
          </cell>
        </row>
        <row r="6">
          <cell r="I6">
            <v>264750</v>
          </cell>
          <cell r="J6">
            <v>58463.074575000006</v>
          </cell>
        </row>
        <row r="7">
          <cell r="I7">
            <v>2214520</v>
          </cell>
          <cell r="J7">
            <v>489019</v>
          </cell>
        </row>
        <row r="8">
          <cell r="I8">
            <v>1754035</v>
          </cell>
          <cell r="J8">
            <v>387332.49862950004</v>
          </cell>
        </row>
        <row r="9">
          <cell r="I9">
            <v>1364530</v>
          </cell>
          <cell r="J9">
            <v>301320.56336100004</v>
          </cell>
        </row>
        <row r="10">
          <cell r="I10">
            <v>301660</v>
          </cell>
          <cell r="J10">
            <v>66613.67734200001</v>
          </cell>
        </row>
        <row r="11">
          <cell r="I11">
            <v>393900</v>
          </cell>
          <cell r="J11">
            <v>86982.455430000002</v>
          </cell>
        </row>
        <row r="12">
          <cell r="I12">
            <v>532325</v>
          </cell>
          <cell r="J12">
            <v>117549.9761025</v>
          </cell>
        </row>
        <row r="13">
          <cell r="I13">
            <v>813430</v>
          </cell>
          <cell r="J13">
            <v>179624.62229100001</v>
          </cell>
        </row>
        <row r="14">
          <cell r="I14">
            <v>1710850</v>
          </cell>
          <cell r="J14">
            <v>377796.22714500001</v>
          </cell>
        </row>
        <row r="15">
          <cell r="I15">
            <v>304230</v>
          </cell>
          <cell r="J15">
            <v>67181.194251000008</v>
          </cell>
        </row>
        <row r="16">
          <cell r="I16">
            <v>1813465</v>
          </cell>
          <cell r="J16">
            <v>400456.05112050002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C30">
            <v>455965</v>
          </cell>
          <cell r="D30">
            <v>2880</v>
          </cell>
        </row>
        <row r="51">
          <cell r="E51">
            <v>458845</v>
          </cell>
        </row>
        <row r="53">
          <cell r="C53">
            <v>334342</v>
          </cell>
        </row>
        <row r="56">
          <cell r="C56">
            <v>73830</v>
          </cell>
        </row>
        <row r="64">
          <cell r="E64">
            <v>30846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C30">
            <v>2512059</v>
          </cell>
          <cell r="D30">
            <v>25775</v>
          </cell>
        </row>
        <row r="50">
          <cell r="E50">
            <v>2537834</v>
          </cell>
        </row>
        <row r="53">
          <cell r="C53">
            <v>1961419</v>
          </cell>
        </row>
        <row r="56">
          <cell r="C56">
            <v>433128</v>
          </cell>
        </row>
        <row r="64">
          <cell r="E64">
            <v>49960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5364</v>
          </cell>
        </row>
        <row r="50">
          <cell r="C50">
            <v>503868</v>
          </cell>
        </row>
        <row r="51">
          <cell r="E51">
            <v>509232</v>
          </cell>
        </row>
        <row r="53">
          <cell r="C53">
            <v>373822</v>
          </cell>
        </row>
        <row r="56">
          <cell r="C56">
            <v>82549</v>
          </cell>
        </row>
        <row r="64">
          <cell r="E64">
            <v>31450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C30">
            <v>1450910</v>
          </cell>
          <cell r="D30">
            <v>5565</v>
          </cell>
        </row>
        <row r="51">
          <cell r="E51">
            <v>1456475</v>
          </cell>
        </row>
        <row r="53">
          <cell r="C53">
            <v>1109196</v>
          </cell>
        </row>
        <row r="56">
          <cell r="E56">
            <v>244937</v>
          </cell>
        </row>
        <row r="64">
          <cell r="E64">
            <v>71268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D30">
            <v>1008659</v>
          </cell>
          <cell r="E30">
            <v>16557987</v>
          </cell>
        </row>
        <row r="53">
          <cell r="C53">
            <v>10854034</v>
          </cell>
        </row>
        <row r="56">
          <cell r="C56">
            <v>2396828</v>
          </cell>
        </row>
        <row r="64">
          <cell r="E64">
            <v>1088956</v>
          </cell>
        </row>
        <row r="86">
          <cell r="E86">
            <v>865130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5657</v>
          </cell>
        </row>
        <row r="50">
          <cell r="C50">
            <v>931832</v>
          </cell>
          <cell r="E50">
            <v>937489</v>
          </cell>
        </row>
        <row r="53">
          <cell r="E53">
            <v>629754</v>
          </cell>
        </row>
        <row r="56">
          <cell r="E56">
            <v>139065</v>
          </cell>
        </row>
        <row r="64">
          <cell r="E64">
            <v>134459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2160</v>
          </cell>
        </row>
        <row r="50">
          <cell r="C50">
            <v>494916</v>
          </cell>
        </row>
        <row r="51">
          <cell r="E51">
            <v>497076</v>
          </cell>
        </row>
        <row r="53">
          <cell r="C53">
            <v>381691</v>
          </cell>
        </row>
        <row r="56">
          <cell r="C56">
            <v>84286</v>
          </cell>
        </row>
        <row r="64">
          <cell r="E64">
            <v>17496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35843</v>
          </cell>
        </row>
        <row r="50">
          <cell r="C50">
            <v>3219129</v>
          </cell>
          <cell r="E50">
            <v>3254972</v>
          </cell>
        </row>
        <row r="53">
          <cell r="C53">
            <v>2296890</v>
          </cell>
        </row>
        <row r="56">
          <cell r="E56">
            <v>507208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16801</v>
          </cell>
        </row>
        <row r="50">
          <cell r="C50">
            <v>2298680</v>
          </cell>
        </row>
        <row r="51">
          <cell r="E51">
            <v>2315481</v>
          </cell>
        </row>
        <row r="53">
          <cell r="C53">
            <v>1677694</v>
          </cell>
        </row>
        <row r="56">
          <cell r="E56">
            <v>370474</v>
          </cell>
        </row>
        <row r="64">
          <cell r="E64">
            <v>207684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6075</v>
          </cell>
        </row>
        <row r="50">
          <cell r="C50">
            <v>737224</v>
          </cell>
        </row>
        <row r="51">
          <cell r="E51">
            <v>743299</v>
          </cell>
        </row>
        <row r="54">
          <cell r="C54">
            <v>428696</v>
          </cell>
        </row>
        <row r="56">
          <cell r="E56">
            <v>94666</v>
          </cell>
        </row>
        <row r="64">
          <cell r="E64">
            <v>196463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D30">
            <v>23055</v>
          </cell>
        </row>
        <row r="50">
          <cell r="C50">
            <v>4046767</v>
          </cell>
        </row>
        <row r="51">
          <cell r="E51">
            <v>4069822</v>
          </cell>
        </row>
        <row r="53">
          <cell r="C53">
            <v>2736459</v>
          </cell>
        </row>
        <row r="56">
          <cell r="C56">
            <v>604275</v>
          </cell>
        </row>
        <row r="64">
          <cell r="E64">
            <v>421612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C30">
            <v>3038952</v>
          </cell>
          <cell r="D30">
            <v>16996</v>
          </cell>
        </row>
        <row r="51">
          <cell r="E51">
            <v>3055948</v>
          </cell>
        </row>
        <row r="53">
          <cell r="C53">
            <v>2335443</v>
          </cell>
        </row>
        <row r="56">
          <cell r="C56">
            <v>515721</v>
          </cell>
        </row>
        <row r="64">
          <cell r="E64">
            <v>103080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H37"/>
  <sheetViews>
    <sheetView tabSelected="1" zoomScale="80" zoomScaleNormal="80" workbookViewId="0">
      <pane xSplit="1" topLeftCell="J1" activePane="topRight" state="frozen"/>
      <selection pane="topRight" activeCell="V30" sqref="V30"/>
    </sheetView>
  </sheetViews>
  <sheetFormatPr defaultRowHeight="15"/>
  <cols>
    <col min="1" max="1" width="17.7109375" customWidth="1"/>
    <col min="2" max="5" width="12.7109375" hidden="1" customWidth="1"/>
    <col min="6" max="9" width="13" hidden="1" customWidth="1"/>
    <col min="10" max="11" width="13" customWidth="1"/>
    <col min="12" max="12" width="13" style="3" customWidth="1"/>
    <col min="13" max="13" width="13" customWidth="1"/>
    <col min="14" max="14" width="13" style="3" customWidth="1"/>
    <col min="15" max="19" width="13" customWidth="1"/>
    <col min="20" max="20" width="14.42578125" customWidth="1"/>
    <col min="21" max="21" width="13" customWidth="1"/>
    <col min="22" max="22" width="12.28515625" customWidth="1"/>
    <col min="23" max="23" width="11.28515625" customWidth="1"/>
    <col min="24" max="29" width="13" hidden="1" customWidth="1"/>
    <col min="30" max="30" width="0" hidden="1" customWidth="1"/>
    <col min="31" max="60" width="8.85546875" style="15"/>
  </cols>
  <sheetData>
    <row r="4" spans="1:60" s="17" customFormat="1" ht="29.45" customHeight="1">
      <c r="B4" s="36" t="s">
        <v>14</v>
      </c>
      <c r="C4" s="37"/>
      <c r="D4" s="38" t="s">
        <v>16</v>
      </c>
      <c r="E4" s="39"/>
      <c r="F4" s="35">
        <v>2110</v>
      </c>
      <c r="G4" s="35"/>
      <c r="H4" s="35">
        <v>2120</v>
      </c>
      <c r="I4" s="35"/>
      <c r="J4" s="40" t="s">
        <v>24</v>
      </c>
      <c r="K4" s="41"/>
      <c r="L4" s="40" t="s">
        <v>25</v>
      </c>
      <c r="M4" s="41"/>
      <c r="N4" s="44" t="s">
        <v>23</v>
      </c>
      <c r="O4" s="45"/>
      <c r="P4" s="40" t="s">
        <v>21</v>
      </c>
      <c r="Q4" s="41"/>
      <c r="R4" s="42" t="s">
        <v>22</v>
      </c>
      <c r="S4" s="43"/>
      <c r="T4" s="35" t="s">
        <v>12</v>
      </c>
      <c r="U4" s="35"/>
      <c r="V4" s="35" t="s">
        <v>13</v>
      </c>
      <c r="W4" s="35"/>
      <c r="Y4" s="36" t="s">
        <v>15</v>
      </c>
      <c r="Z4" s="36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17" customFormat="1">
      <c r="B5" s="19">
        <v>2019</v>
      </c>
      <c r="C5" s="18">
        <v>2020</v>
      </c>
      <c r="D5" s="19">
        <v>2019</v>
      </c>
      <c r="E5" s="18">
        <v>2020</v>
      </c>
      <c r="F5" s="18">
        <v>2019</v>
      </c>
      <c r="G5" s="18">
        <v>2020</v>
      </c>
      <c r="H5" s="18">
        <v>2019</v>
      </c>
      <c r="I5" s="18">
        <v>2020</v>
      </c>
      <c r="J5" s="19">
        <v>2019</v>
      </c>
      <c r="K5" s="18">
        <v>2020</v>
      </c>
      <c r="L5" s="19">
        <v>2019</v>
      </c>
      <c r="M5" s="18">
        <v>2020</v>
      </c>
      <c r="N5" s="19">
        <v>2019</v>
      </c>
      <c r="O5" s="18">
        <v>2020</v>
      </c>
      <c r="P5" s="19" t="s">
        <v>18</v>
      </c>
      <c r="Q5" s="18" t="s">
        <v>17</v>
      </c>
      <c r="R5" s="19">
        <v>2019</v>
      </c>
      <c r="S5" s="18">
        <v>2020</v>
      </c>
      <c r="T5" s="19">
        <v>2019</v>
      </c>
      <c r="U5" s="18">
        <v>2020</v>
      </c>
      <c r="V5" s="19">
        <v>2019</v>
      </c>
      <c r="W5" s="18">
        <v>2020</v>
      </c>
      <c r="Y5" s="18">
        <v>2019</v>
      </c>
      <c r="Z5" s="18">
        <v>2020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s="15" customFormat="1" ht="22.15" hidden="1" customHeight="1">
      <c r="A6" s="11" t="s">
        <v>0</v>
      </c>
      <c r="B6" s="21">
        <v>7456542</v>
      </c>
      <c r="C6" s="12">
        <f>[1]Лист1!$I$5+[1]Лист1!$J$5</f>
        <v>9878365.7763246</v>
      </c>
      <c r="D6" s="20">
        <v>3593995</v>
      </c>
      <c r="E6" s="12">
        <f t="shared" ref="E6:E17" si="0">(G6+I6)-C6</f>
        <v>3372496.2236754</v>
      </c>
      <c r="F6" s="13"/>
      <c r="G6" s="13">
        <f>[2]кошторис!$C$53</f>
        <v>10854034</v>
      </c>
      <c r="H6" s="13"/>
      <c r="I6" s="13">
        <f>[2]кошторис!$C$56</f>
        <v>2396828</v>
      </c>
      <c r="J6" s="10">
        <f>B6+D6</f>
        <v>11050537</v>
      </c>
      <c r="K6" s="13">
        <f>C6+E6</f>
        <v>13250862</v>
      </c>
      <c r="L6" s="9">
        <v>12330353</v>
      </c>
      <c r="M6" s="13">
        <v>15536432</v>
      </c>
      <c r="N6" s="10">
        <f>O6*0.724688714</f>
        <v>789154.12324258406</v>
      </c>
      <c r="O6" s="13">
        <f>[2]кошторис!$E$64</f>
        <v>1088956</v>
      </c>
      <c r="P6" s="10">
        <v>3618857.81</v>
      </c>
      <c r="Q6" s="13">
        <f>[2]кошторис!$E$86</f>
        <v>865130</v>
      </c>
      <c r="R6" s="10">
        <f>L6</f>
        <v>12330353</v>
      </c>
      <c r="S6" s="13">
        <f>M6</f>
        <v>15536432</v>
      </c>
      <c r="T6" s="10">
        <f>L6+P6+V6</f>
        <v>16600739.17615</v>
      </c>
      <c r="U6" s="13">
        <f>[2]кошторис!$E$30</f>
        <v>16557987</v>
      </c>
      <c r="V6" s="9">
        <f>W6*4.53935</f>
        <v>651528.36615000002</v>
      </c>
      <c r="W6" s="13">
        <f>[2]кошторис!$D$30-865130</f>
        <v>143529</v>
      </c>
      <c r="X6" s="14">
        <f t="shared" ref="X6:X17" si="1">R6-N6-J6</f>
        <v>490661.87675741687</v>
      </c>
      <c r="Y6" s="13">
        <f t="shared" ref="Y6:Y17" si="2">T6-V6-B6-P6</f>
        <v>4873811</v>
      </c>
      <c r="Z6" s="13">
        <f t="shared" ref="Z6:Z17" si="3">U6-W6-C6</f>
        <v>6536092.2236754</v>
      </c>
      <c r="AB6" s="14">
        <f>V6+P6</f>
        <v>4270386.1761499997</v>
      </c>
      <c r="AC6" s="14">
        <f>Q6+W6</f>
        <v>1008659</v>
      </c>
    </row>
    <row r="7" spans="1:60" s="15" customFormat="1" ht="22.15" hidden="1" customHeight="1">
      <c r="A7" s="11" t="s">
        <v>1</v>
      </c>
      <c r="B7" s="20">
        <v>532604</v>
      </c>
      <c r="C7" s="16">
        <f>[1]Лист1!$I$12+[1]Лист1!$J$12</f>
        <v>649874.97610249999</v>
      </c>
      <c r="D7" s="20">
        <v>88748</v>
      </c>
      <c r="E7" s="12">
        <f t="shared" si="0"/>
        <v>118944.02389750001</v>
      </c>
      <c r="F7" s="13"/>
      <c r="G7" s="13">
        <f>[3]кошторис!$E$53</f>
        <v>629754</v>
      </c>
      <c r="H7" s="13"/>
      <c r="I7" s="13">
        <f>[3]кошторис!$E$56</f>
        <v>139065</v>
      </c>
      <c r="J7" s="10">
        <f t="shared" ref="J7:J17" si="4">B7+D7</f>
        <v>621352</v>
      </c>
      <c r="K7" s="13">
        <f>C7+E7</f>
        <v>768819</v>
      </c>
      <c r="L7" s="9">
        <v>815404</v>
      </c>
      <c r="M7" s="13">
        <f>[3]кошторис!$C$50</f>
        <v>931832</v>
      </c>
      <c r="N7" s="10">
        <f t="shared" ref="N7:N17" si="5">O7*0.724688714</f>
        <v>97440.919795726004</v>
      </c>
      <c r="O7" s="13">
        <f>[3]кошторис!$E$64</f>
        <v>134459</v>
      </c>
      <c r="P7" s="10">
        <v>31736</v>
      </c>
      <c r="Q7" s="13">
        <v>0</v>
      </c>
      <c r="R7" s="10">
        <f t="shared" ref="R7:R17" si="6">L7</f>
        <v>815404</v>
      </c>
      <c r="S7" s="13">
        <f t="shared" ref="S7:S17" si="7">Q7+M7</f>
        <v>931832</v>
      </c>
      <c r="T7" s="10">
        <f t="shared" ref="T7:T15" si="8">L7+P7+V7</f>
        <v>872819.15951999999</v>
      </c>
      <c r="U7" s="13">
        <f>[3]кошторис!$E$50</f>
        <v>937489</v>
      </c>
      <c r="V7" s="9">
        <f t="shared" ref="V7:V16" si="9">W7*4.53936</f>
        <v>25679.159520000001</v>
      </c>
      <c r="W7" s="13">
        <f>[3]кошторис!$D$30</f>
        <v>5657</v>
      </c>
      <c r="X7" s="14">
        <f t="shared" si="1"/>
        <v>96611.08020427404</v>
      </c>
      <c r="Y7" s="13">
        <f t="shared" si="2"/>
        <v>282800</v>
      </c>
      <c r="Z7" s="13">
        <f t="shared" si="3"/>
        <v>281957.02389750001</v>
      </c>
      <c r="AB7" s="14">
        <f t="shared" ref="AB7:AB17" si="10">V7+P7</f>
        <v>57415.159520000001</v>
      </c>
      <c r="AC7" s="14">
        <f t="shared" ref="AC7:AC17" si="11">Q7+W7</f>
        <v>5657</v>
      </c>
    </row>
    <row r="8" spans="1:60" s="15" customFormat="1" ht="22.15" hidden="1" customHeight="1">
      <c r="A8" s="11" t="s">
        <v>2</v>
      </c>
      <c r="B8" s="20">
        <v>401996</v>
      </c>
      <c r="C8" s="12">
        <f>[1]Лист1!$I$10+[1]Лист1!$J$10</f>
        <v>368273.67734200001</v>
      </c>
      <c r="D8" s="20">
        <v>80963</v>
      </c>
      <c r="E8" s="12">
        <f t="shared" si="0"/>
        <v>97703.32265799999</v>
      </c>
      <c r="F8" s="13"/>
      <c r="G8" s="13">
        <f>[4]кошторис!$C$53</f>
        <v>381691</v>
      </c>
      <c r="H8" s="13"/>
      <c r="I8" s="13">
        <f>[4]кошторис!$C$56</f>
        <v>84286</v>
      </c>
      <c r="J8" s="10">
        <f t="shared" si="4"/>
        <v>482959</v>
      </c>
      <c r="K8" s="13">
        <f t="shared" ref="K8:K17" si="12">C8+E8</f>
        <v>465977</v>
      </c>
      <c r="L8" s="9">
        <v>589562</v>
      </c>
      <c r="M8" s="13">
        <f>[4]кошторис!$C$50</f>
        <v>494916</v>
      </c>
      <c r="N8" s="10">
        <f>O8*0.724688714</f>
        <v>12679.153740144</v>
      </c>
      <c r="O8" s="13">
        <f>[4]кошторис!$E$64</f>
        <v>17496</v>
      </c>
      <c r="P8" s="10">
        <v>20693</v>
      </c>
      <c r="Q8" s="13">
        <v>0</v>
      </c>
      <c r="R8" s="10">
        <f t="shared" si="6"/>
        <v>589562</v>
      </c>
      <c r="S8" s="13">
        <f t="shared" si="7"/>
        <v>494916</v>
      </c>
      <c r="T8" s="10">
        <f t="shared" si="8"/>
        <v>620060.01760000002</v>
      </c>
      <c r="U8" s="13">
        <f>[4]кошторис!$E$51</f>
        <v>497076</v>
      </c>
      <c r="V8" s="9">
        <f t="shared" si="9"/>
        <v>9805.017600000001</v>
      </c>
      <c r="W8" s="13">
        <f>[4]кошторис!$D$30</f>
        <v>2160</v>
      </c>
      <c r="X8" s="14">
        <f t="shared" si="1"/>
        <v>93923.846259856015</v>
      </c>
      <c r="Y8" s="13">
        <f t="shared" si="2"/>
        <v>187566</v>
      </c>
      <c r="Z8" s="13">
        <f t="shared" si="3"/>
        <v>126642.32265799999</v>
      </c>
      <c r="AB8" s="14">
        <f t="shared" si="10"/>
        <v>30498.017599999999</v>
      </c>
      <c r="AC8" s="14">
        <f t="shared" si="11"/>
        <v>2160</v>
      </c>
    </row>
    <row r="9" spans="1:60" s="15" customFormat="1" ht="22.15" hidden="1" customHeight="1">
      <c r="A9" s="11" t="s">
        <v>3</v>
      </c>
      <c r="B9" s="20">
        <v>2107789</v>
      </c>
      <c r="C9" s="12">
        <f>[1]Лист1!$I$8+[1]Лист1!$J$8</f>
        <v>2141367.4986295002</v>
      </c>
      <c r="D9" s="20">
        <v>632408</v>
      </c>
      <c r="E9" s="12">
        <f t="shared" si="0"/>
        <v>662730.50137049984</v>
      </c>
      <c r="F9" s="13"/>
      <c r="G9" s="13">
        <f>[5]кошторис!$C$53</f>
        <v>2296890</v>
      </c>
      <c r="H9" s="13"/>
      <c r="I9" s="13">
        <f>[5]кошторис!$E$56</f>
        <v>507208</v>
      </c>
      <c r="J9" s="10">
        <f t="shared" si="4"/>
        <v>2740197</v>
      </c>
      <c r="K9" s="13">
        <f t="shared" si="12"/>
        <v>2804098</v>
      </c>
      <c r="L9" s="9">
        <v>3081090</v>
      </c>
      <c r="M9" s="13">
        <f>[5]кошторис!$C$50</f>
        <v>3219129</v>
      </c>
      <c r="N9" s="10">
        <f t="shared" si="5"/>
        <v>232502.604801334</v>
      </c>
      <c r="O9" s="13">
        <v>320831</v>
      </c>
      <c r="P9" s="10">
        <v>258000</v>
      </c>
      <c r="Q9" s="13">
        <v>0</v>
      </c>
      <c r="R9" s="10">
        <f t="shared" si="6"/>
        <v>3081090</v>
      </c>
      <c r="S9" s="13">
        <f t="shared" si="7"/>
        <v>3219129</v>
      </c>
      <c r="T9" s="10">
        <f t="shared" si="8"/>
        <v>3501794.2804800002</v>
      </c>
      <c r="U9" s="13">
        <f>[5]кошторис!$E$50</f>
        <v>3254972</v>
      </c>
      <c r="V9" s="9">
        <f t="shared" si="9"/>
        <v>162704.28048000002</v>
      </c>
      <c r="W9" s="13">
        <f>[5]кошторис!$D$30</f>
        <v>35843</v>
      </c>
      <c r="X9" s="14">
        <f t="shared" si="1"/>
        <v>108390.39519866602</v>
      </c>
      <c r="Y9" s="13">
        <f t="shared" si="2"/>
        <v>973301</v>
      </c>
      <c r="Z9" s="13">
        <f t="shared" si="3"/>
        <v>1077761.5013704998</v>
      </c>
      <c r="AB9" s="14">
        <f t="shared" si="10"/>
        <v>420704.28048000002</v>
      </c>
      <c r="AC9" s="14">
        <f t="shared" si="11"/>
        <v>35843</v>
      </c>
    </row>
    <row r="10" spans="1:60" s="33" customFormat="1" ht="64.900000000000006" customHeight="1">
      <c r="A10" s="34" t="s">
        <v>4</v>
      </c>
      <c r="B10" s="27">
        <v>1562789</v>
      </c>
      <c r="C10" s="28">
        <f>[1]Лист1!$I$9+[1]Лист1!$J$9</f>
        <v>1665850.563361</v>
      </c>
      <c r="D10" s="27">
        <v>274209</v>
      </c>
      <c r="E10" s="28">
        <f t="shared" si="0"/>
        <v>382317.43663899996</v>
      </c>
      <c r="F10" s="29"/>
      <c r="G10" s="29">
        <f>[6]кошторис!$C$53</f>
        <v>1677694</v>
      </c>
      <c r="H10" s="29"/>
      <c r="I10" s="29">
        <f>[6]кошторис!$E$56</f>
        <v>370474</v>
      </c>
      <c r="J10" s="30">
        <f t="shared" si="4"/>
        <v>1836998</v>
      </c>
      <c r="K10" s="29">
        <f t="shared" si="12"/>
        <v>2048168</v>
      </c>
      <c r="L10" s="31">
        <v>2013945</v>
      </c>
      <c r="M10" s="29">
        <f>[6]кошторис!$C$50</f>
        <v>2298680</v>
      </c>
      <c r="N10" s="30">
        <f t="shared" si="5"/>
        <v>150506.25087837601</v>
      </c>
      <c r="O10" s="29">
        <f>[6]кошторис!$E$64</f>
        <v>207684</v>
      </c>
      <c r="P10" s="30">
        <v>137736</v>
      </c>
      <c r="Q10" s="29">
        <v>0</v>
      </c>
      <c r="R10" s="30">
        <f t="shared" si="6"/>
        <v>2013945</v>
      </c>
      <c r="S10" s="29">
        <f t="shared" si="7"/>
        <v>2298680</v>
      </c>
      <c r="T10" s="30">
        <f t="shared" si="8"/>
        <v>2227946.78736</v>
      </c>
      <c r="U10" s="29">
        <f>[6]кошторис!$E$51</f>
        <v>2315481</v>
      </c>
      <c r="V10" s="31">
        <f t="shared" si="9"/>
        <v>76265.787360000002</v>
      </c>
      <c r="W10" s="29">
        <f>[6]кошторис!$D$30</f>
        <v>16801</v>
      </c>
      <c r="X10" s="32">
        <f t="shared" si="1"/>
        <v>26440.749121624045</v>
      </c>
      <c r="Y10" s="29">
        <f t="shared" si="2"/>
        <v>451156</v>
      </c>
      <c r="Z10" s="29">
        <f t="shared" si="3"/>
        <v>632829.43663899996</v>
      </c>
      <c r="AB10" s="32">
        <f t="shared" si="10"/>
        <v>214001.78736000002</v>
      </c>
      <c r="AC10" s="32">
        <f t="shared" si="11"/>
        <v>16801</v>
      </c>
    </row>
    <row r="11" spans="1:60" s="15" customFormat="1" ht="22.15" hidden="1" customHeight="1">
      <c r="A11" s="11" t="s">
        <v>5</v>
      </c>
      <c r="B11" s="20">
        <v>424441</v>
      </c>
      <c r="C11" s="12">
        <f>[1]Лист1!$I$11+[1]Лист1!$J$11</f>
        <v>480882.45542999997</v>
      </c>
      <c r="D11" s="20">
        <v>44954</v>
      </c>
      <c r="E11" s="12">
        <f t="shared" si="0"/>
        <v>42479.544570000027</v>
      </c>
      <c r="F11" s="13"/>
      <c r="G11" s="13">
        <f>[7]кошторис!$C$54</f>
        <v>428696</v>
      </c>
      <c r="H11" s="13"/>
      <c r="I11" s="13">
        <f>[7]кошторис!$E$56</f>
        <v>94666</v>
      </c>
      <c r="J11" s="10">
        <f t="shared" si="4"/>
        <v>469395</v>
      </c>
      <c r="K11" s="13">
        <f t="shared" si="12"/>
        <v>523362</v>
      </c>
      <c r="L11" s="9">
        <v>626456</v>
      </c>
      <c r="M11" s="13">
        <f>[7]кошторис!$C$50</f>
        <v>737224</v>
      </c>
      <c r="N11" s="10">
        <f t="shared" si="5"/>
        <v>142374.518818582</v>
      </c>
      <c r="O11" s="13">
        <f>[7]кошторис!$E$64</f>
        <v>196463</v>
      </c>
      <c r="P11" s="10">
        <v>16155</v>
      </c>
      <c r="Q11" s="13">
        <v>0</v>
      </c>
      <c r="R11" s="10">
        <f t="shared" si="6"/>
        <v>626456</v>
      </c>
      <c r="S11" s="13">
        <f t="shared" si="7"/>
        <v>737224</v>
      </c>
      <c r="T11" s="10">
        <f t="shared" si="8"/>
        <v>670187.61199999996</v>
      </c>
      <c r="U11" s="13">
        <f>[7]кошторис!$E$51</f>
        <v>743299</v>
      </c>
      <c r="V11" s="9">
        <f t="shared" si="9"/>
        <v>27576.612000000001</v>
      </c>
      <c r="W11" s="13">
        <f>[7]кошторис!$D$30</f>
        <v>6075</v>
      </c>
      <c r="X11" s="14">
        <f t="shared" si="1"/>
        <v>14686.481181417999</v>
      </c>
      <c r="Y11" s="13">
        <f t="shared" si="2"/>
        <v>202015</v>
      </c>
      <c r="Z11" s="13">
        <f t="shared" si="3"/>
        <v>256341.54457000003</v>
      </c>
      <c r="AB11" s="14">
        <f t="shared" si="10"/>
        <v>43731.612000000001</v>
      </c>
      <c r="AC11" s="14">
        <f t="shared" si="11"/>
        <v>6075</v>
      </c>
    </row>
    <row r="12" spans="1:60" s="15" customFormat="1" ht="22.15" hidden="1" customHeight="1">
      <c r="A12" s="11" t="s">
        <v>6</v>
      </c>
      <c r="B12" s="20">
        <v>2346834</v>
      </c>
      <c r="C12" s="12">
        <f>[1]Лист1!$I$7+[1]Лист1!$J$7</f>
        <v>2703539</v>
      </c>
      <c r="D12" s="20">
        <v>453867</v>
      </c>
      <c r="E12" s="12">
        <f t="shared" si="0"/>
        <v>637195</v>
      </c>
      <c r="F12" s="13"/>
      <c r="G12" s="13">
        <f>[8]кошторис!$C$53</f>
        <v>2736459</v>
      </c>
      <c r="H12" s="13"/>
      <c r="I12" s="13">
        <f>[8]кошторис!$C$56</f>
        <v>604275</v>
      </c>
      <c r="J12" s="10">
        <f t="shared" si="4"/>
        <v>2800701</v>
      </c>
      <c r="K12" s="13">
        <f t="shared" si="12"/>
        <v>3340734</v>
      </c>
      <c r="L12" s="9">
        <v>3339820</v>
      </c>
      <c r="M12" s="13">
        <f>[8]кошторис!$C$50</f>
        <v>4046767</v>
      </c>
      <c r="N12" s="10">
        <f t="shared" si="5"/>
        <v>305537.45808696799</v>
      </c>
      <c r="O12" s="13">
        <f>[8]кошторис!$E$64</f>
        <v>421612</v>
      </c>
      <c r="P12" s="10">
        <v>35570</v>
      </c>
      <c r="Q12" s="13">
        <v>0</v>
      </c>
      <c r="R12" s="10">
        <f t="shared" si="6"/>
        <v>3339820</v>
      </c>
      <c r="S12" s="13">
        <f t="shared" si="7"/>
        <v>4046767</v>
      </c>
      <c r="T12" s="10">
        <f t="shared" si="8"/>
        <v>3480044.9448000002</v>
      </c>
      <c r="U12" s="13">
        <f>[8]кошторис!$E$51</f>
        <v>4069822</v>
      </c>
      <c r="V12" s="9">
        <f t="shared" si="9"/>
        <v>104654.94480000001</v>
      </c>
      <c r="W12" s="13">
        <f>[8]кошторис!$D$30</f>
        <v>23055</v>
      </c>
      <c r="X12" s="14">
        <f t="shared" si="1"/>
        <v>233581.54191303207</v>
      </c>
      <c r="Y12" s="13">
        <f t="shared" si="2"/>
        <v>992986</v>
      </c>
      <c r="Z12" s="13">
        <f t="shared" si="3"/>
        <v>1343228</v>
      </c>
      <c r="AB12" s="14">
        <f t="shared" si="10"/>
        <v>140224.9448</v>
      </c>
      <c r="AC12" s="14">
        <f t="shared" si="11"/>
        <v>23055</v>
      </c>
    </row>
    <row r="13" spans="1:60" s="15" customFormat="1" ht="22.15" hidden="1" customHeight="1">
      <c r="A13" s="11" t="s">
        <v>7</v>
      </c>
      <c r="B13" s="20">
        <v>2226160</v>
      </c>
      <c r="C13" s="12">
        <f>[1]Лист1!$I$16+[1]Лист1!$J$16</f>
        <v>2213921.0511205001</v>
      </c>
      <c r="D13" s="20">
        <v>661693</v>
      </c>
      <c r="E13" s="12">
        <f t="shared" si="0"/>
        <v>637242.94887949992</v>
      </c>
      <c r="F13" s="13"/>
      <c r="G13" s="13">
        <f>[9]кошторис!$C$53</f>
        <v>2335443</v>
      </c>
      <c r="H13" s="13"/>
      <c r="I13" s="13">
        <f>[9]кошторис!$C$56</f>
        <v>515721</v>
      </c>
      <c r="J13" s="10">
        <f t="shared" si="4"/>
        <v>2887853</v>
      </c>
      <c r="K13" s="13">
        <f t="shared" si="12"/>
        <v>2851164</v>
      </c>
      <c r="L13" s="9">
        <v>3057856</v>
      </c>
      <c r="M13" s="13">
        <f>[9]кошторис!$C$30</f>
        <v>3038952</v>
      </c>
      <c r="N13" s="10">
        <f t="shared" si="5"/>
        <v>74700.912639119997</v>
      </c>
      <c r="O13" s="13">
        <f>[9]кошторис!$E$64</f>
        <v>103080</v>
      </c>
      <c r="P13" s="10">
        <v>170952</v>
      </c>
      <c r="Q13" s="13">
        <v>0</v>
      </c>
      <c r="R13" s="10">
        <f t="shared" si="6"/>
        <v>3057856</v>
      </c>
      <c r="S13" s="13">
        <f t="shared" si="7"/>
        <v>3038952</v>
      </c>
      <c r="T13" s="10">
        <f>L13+P13+V13</f>
        <v>3305958.9625599999</v>
      </c>
      <c r="U13" s="13">
        <f>[9]кошторис!$E$51</f>
        <v>3055948</v>
      </c>
      <c r="V13" s="9">
        <f t="shared" si="9"/>
        <v>77150.96256</v>
      </c>
      <c r="W13" s="13">
        <f>[9]кошторис!$D$30</f>
        <v>16996</v>
      </c>
      <c r="X13" s="14">
        <f t="shared" si="1"/>
        <v>95302.087360879872</v>
      </c>
      <c r="Y13" s="13">
        <f t="shared" si="2"/>
        <v>831696</v>
      </c>
      <c r="Z13" s="13">
        <f t="shared" si="3"/>
        <v>825030.94887949992</v>
      </c>
      <c r="AB13" s="14">
        <f t="shared" si="10"/>
        <v>248102.96256000001</v>
      </c>
      <c r="AC13" s="14">
        <f t="shared" si="11"/>
        <v>16996</v>
      </c>
    </row>
    <row r="14" spans="1:60" s="15" customFormat="1" ht="22.15" hidden="1" customHeight="1">
      <c r="A14" s="11" t="s">
        <v>8</v>
      </c>
      <c r="B14" s="20">
        <v>356333</v>
      </c>
      <c r="C14" s="12">
        <f>[1]Лист1!$I$6+[1]Лист1!$J$6</f>
        <v>323213.07457499998</v>
      </c>
      <c r="D14" s="20">
        <v>64230</v>
      </c>
      <c r="E14" s="12">
        <f t="shared" si="0"/>
        <v>84958.925425000023</v>
      </c>
      <c r="F14" s="13"/>
      <c r="G14" s="13">
        <f>[10]кошторис!$C$53</f>
        <v>334342</v>
      </c>
      <c r="H14" s="13"/>
      <c r="I14" s="13">
        <f>[10]кошторис!$C$56</f>
        <v>73830</v>
      </c>
      <c r="J14" s="10">
        <f t="shared" si="4"/>
        <v>420563</v>
      </c>
      <c r="K14" s="13">
        <f t="shared" si="12"/>
        <v>408172</v>
      </c>
      <c r="L14" s="9">
        <v>449091</v>
      </c>
      <c r="M14" s="13">
        <f>[10]кошторис!$C$30</f>
        <v>455965</v>
      </c>
      <c r="N14" s="10">
        <f t="shared" si="5"/>
        <v>22353.748072044</v>
      </c>
      <c r="O14" s="13">
        <f>[10]кошторис!$E$64</f>
        <v>30846</v>
      </c>
      <c r="P14" s="10">
        <v>17433</v>
      </c>
      <c r="Q14" s="13">
        <v>0</v>
      </c>
      <c r="R14" s="10">
        <f t="shared" si="6"/>
        <v>449091</v>
      </c>
      <c r="S14" s="13">
        <f t="shared" si="7"/>
        <v>455965</v>
      </c>
      <c r="T14" s="10">
        <f t="shared" si="8"/>
        <v>479597.35680000001</v>
      </c>
      <c r="U14" s="13">
        <f>[10]кошторис!$E$51</f>
        <v>458845</v>
      </c>
      <c r="V14" s="9">
        <f t="shared" si="9"/>
        <v>13073.356800000001</v>
      </c>
      <c r="W14" s="13">
        <f>[10]кошторис!$D$30</f>
        <v>2880</v>
      </c>
      <c r="X14" s="14">
        <f t="shared" si="1"/>
        <v>6174.2519279560074</v>
      </c>
      <c r="Y14" s="13">
        <f t="shared" si="2"/>
        <v>92758</v>
      </c>
      <c r="Z14" s="13">
        <f t="shared" si="3"/>
        <v>132751.92542500002</v>
      </c>
      <c r="AB14" s="14">
        <f t="shared" si="10"/>
        <v>30506.356800000001</v>
      </c>
      <c r="AC14" s="14">
        <f t="shared" si="11"/>
        <v>2880</v>
      </c>
    </row>
    <row r="15" spans="1:60" s="15" customFormat="1" ht="22.15" hidden="1" customHeight="1">
      <c r="A15" s="11" t="s">
        <v>9</v>
      </c>
      <c r="B15" s="20">
        <v>1785619</v>
      </c>
      <c r="C15" s="12">
        <f>[1]Лист1!$I$14+[1]Лист1!$J$14</f>
        <v>2088646.2271449999</v>
      </c>
      <c r="D15" s="20">
        <v>411772</v>
      </c>
      <c r="E15" s="12">
        <f t="shared" si="0"/>
        <v>305900.7728550001</v>
      </c>
      <c r="F15" s="13"/>
      <c r="G15" s="13">
        <f>[11]кошторис!$C$53</f>
        <v>1961419</v>
      </c>
      <c r="H15" s="13"/>
      <c r="I15" s="13">
        <f>[11]кошторис!$C$56</f>
        <v>433128</v>
      </c>
      <c r="J15" s="10">
        <f t="shared" si="4"/>
        <v>2197391</v>
      </c>
      <c r="K15" s="13">
        <f t="shared" si="12"/>
        <v>2394547</v>
      </c>
      <c r="L15" s="9">
        <v>2507342</v>
      </c>
      <c r="M15" s="13">
        <f>[11]кошторис!$C$30</f>
        <v>2512059</v>
      </c>
      <c r="N15" s="10">
        <f t="shared" si="5"/>
        <v>36205.448151440003</v>
      </c>
      <c r="O15" s="13">
        <f>[11]кошторис!$E$64</f>
        <v>49960</v>
      </c>
      <c r="P15" s="10">
        <v>31739</v>
      </c>
      <c r="Q15" s="13">
        <v>0</v>
      </c>
      <c r="R15" s="10">
        <f t="shared" si="6"/>
        <v>2507342</v>
      </c>
      <c r="S15" s="13">
        <f t="shared" si="7"/>
        <v>2512059</v>
      </c>
      <c r="T15" s="10">
        <f t="shared" si="8"/>
        <v>2656083.0040000002</v>
      </c>
      <c r="U15" s="13">
        <f>[11]кошторис!$E$50</f>
        <v>2537834</v>
      </c>
      <c r="V15" s="9">
        <f t="shared" si="9"/>
        <v>117002.004</v>
      </c>
      <c r="W15" s="13">
        <f>[11]кошторис!$D$30</f>
        <v>25775</v>
      </c>
      <c r="X15" s="14">
        <f t="shared" si="1"/>
        <v>273745.55184856011</v>
      </c>
      <c r="Y15" s="13">
        <f t="shared" si="2"/>
        <v>721723</v>
      </c>
      <c r="Z15" s="13">
        <f t="shared" si="3"/>
        <v>423412.7728550001</v>
      </c>
      <c r="AB15" s="14">
        <f t="shared" si="10"/>
        <v>148741.00400000002</v>
      </c>
      <c r="AC15" s="14">
        <f t="shared" si="11"/>
        <v>25775</v>
      </c>
    </row>
    <row r="16" spans="1:60" s="15" customFormat="1" ht="22.15" hidden="1" customHeight="1">
      <c r="A16" s="11" t="s">
        <v>10</v>
      </c>
      <c r="B16" s="20">
        <v>387273</v>
      </c>
      <c r="C16" s="12">
        <f>[1]Лист1!$I$15+[1]Лист1!$J$15</f>
        <v>371411.19425100001</v>
      </c>
      <c r="D16" s="20">
        <v>63995</v>
      </c>
      <c r="E16" s="12">
        <f t="shared" si="0"/>
        <v>84959.805748999992</v>
      </c>
      <c r="F16" s="13"/>
      <c r="G16" s="13">
        <f>[12]кошторис!$C$53</f>
        <v>373822</v>
      </c>
      <c r="H16" s="13"/>
      <c r="I16" s="13">
        <f>[12]кошторис!$C$56</f>
        <v>82549</v>
      </c>
      <c r="J16" s="10">
        <f t="shared" si="4"/>
        <v>451268</v>
      </c>
      <c r="K16" s="13">
        <f t="shared" si="12"/>
        <v>456371</v>
      </c>
      <c r="L16" s="9">
        <v>499917</v>
      </c>
      <c r="M16" s="13">
        <f>[12]кошторис!$C$50</f>
        <v>503868</v>
      </c>
      <c r="N16" s="10">
        <f t="shared" si="5"/>
        <v>22791.460055300002</v>
      </c>
      <c r="O16" s="13">
        <f>[12]кошторис!$E$64</f>
        <v>31450</v>
      </c>
      <c r="P16" s="10"/>
      <c r="Q16" s="13">
        <v>0</v>
      </c>
      <c r="R16" s="10">
        <f t="shared" si="6"/>
        <v>499917</v>
      </c>
      <c r="S16" s="13">
        <f t="shared" si="7"/>
        <v>503868</v>
      </c>
      <c r="T16" s="10">
        <f>L16 +P16+V16</f>
        <v>524266.12703999999</v>
      </c>
      <c r="U16" s="13">
        <f>[12]кошторис!$E$51</f>
        <v>509232</v>
      </c>
      <c r="V16" s="9">
        <f t="shared" si="9"/>
        <v>24349.127040000003</v>
      </c>
      <c r="W16" s="13">
        <f>[12]кошторис!$D$30</f>
        <v>5364</v>
      </c>
      <c r="X16" s="14">
        <f t="shared" si="1"/>
        <v>25857.539944700024</v>
      </c>
      <c r="Y16" s="13">
        <f t="shared" si="2"/>
        <v>112644</v>
      </c>
      <c r="Z16" s="13">
        <f t="shared" si="3"/>
        <v>132456.80574899999</v>
      </c>
      <c r="AB16" s="14">
        <f t="shared" si="10"/>
        <v>24349.127040000003</v>
      </c>
      <c r="AC16" s="14">
        <f t="shared" si="11"/>
        <v>5364</v>
      </c>
    </row>
    <row r="17" spans="1:60" s="33" customFormat="1" ht="78.599999999999994" hidden="1" customHeight="1">
      <c r="A17" s="26" t="s">
        <v>11</v>
      </c>
      <c r="B17" s="27">
        <v>1060320</v>
      </c>
      <c r="C17" s="28">
        <f>[1]Лист1!$I$13+[1]Лист1!$J$13</f>
        <v>993054.62229099998</v>
      </c>
      <c r="D17" s="27">
        <v>261193</v>
      </c>
      <c r="E17" s="28">
        <f t="shared" si="0"/>
        <v>361078.37770900002</v>
      </c>
      <c r="F17" s="29"/>
      <c r="G17" s="29">
        <f>[13]кошторис!$C$53</f>
        <v>1109196</v>
      </c>
      <c r="H17" s="29"/>
      <c r="I17" s="29">
        <f>[13]кошторис!$E$56</f>
        <v>244937</v>
      </c>
      <c r="J17" s="30">
        <f t="shared" si="4"/>
        <v>1321513</v>
      </c>
      <c r="K17" s="29">
        <f t="shared" si="12"/>
        <v>1354133</v>
      </c>
      <c r="L17" s="31">
        <v>1466804</v>
      </c>
      <c r="M17" s="29">
        <f>[13]кошторис!$C$30</f>
        <v>1450910</v>
      </c>
      <c r="N17" s="30">
        <f t="shared" si="5"/>
        <v>51647.115269351998</v>
      </c>
      <c r="O17" s="29">
        <f>[13]кошторис!$E$64</f>
        <v>71268</v>
      </c>
      <c r="P17" s="30">
        <v>31736</v>
      </c>
      <c r="Q17" s="29">
        <v>0</v>
      </c>
      <c r="R17" s="30">
        <f t="shared" si="6"/>
        <v>1466804</v>
      </c>
      <c r="S17" s="29">
        <f t="shared" si="7"/>
        <v>1450910</v>
      </c>
      <c r="T17" s="30">
        <f>L17+P17+V17</f>
        <v>1523801.5384</v>
      </c>
      <c r="U17" s="29">
        <f>[13]кошторис!$E$51</f>
        <v>1456475</v>
      </c>
      <c r="V17" s="31">
        <f>W17*4.53936</f>
        <v>25261.538400000001</v>
      </c>
      <c r="W17" s="29">
        <f>[13]кошторис!$D$30</f>
        <v>5565</v>
      </c>
      <c r="X17" s="32">
        <f t="shared" si="1"/>
        <v>93643.884730648017</v>
      </c>
      <c r="Y17" s="29">
        <f t="shared" si="2"/>
        <v>406484</v>
      </c>
      <c r="Z17" s="29">
        <f t="shared" si="3"/>
        <v>457855.37770900002</v>
      </c>
      <c r="AB17" s="32">
        <f t="shared" si="10"/>
        <v>56997.538400000005</v>
      </c>
      <c r="AC17" s="32">
        <f t="shared" si="11"/>
        <v>5565</v>
      </c>
    </row>
    <row r="18" spans="1:60" s="22" customFormat="1" ht="25.9" hidden="1" customHeight="1">
      <c r="B18" s="23">
        <f t="shared" ref="B18" si="13">SUM(B6:B17)</f>
        <v>20648700</v>
      </c>
      <c r="C18" s="22">
        <f t="shared" ref="C18" si="14">SUM(C6:C17)</f>
        <v>23878400.116572101</v>
      </c>
      <c r="D18" s="23">
        <f t="shared" ref="D18" si="15">SUM(D6:D17)</f>
        <v>6632027</v>
      </c>
      <c r="E18" s="22">
        <f t="shared" ref="E18" si="16">SUM(E6:E17)</f>
        <v>6788006.8834279012</v>
      </c>
      <c r="F18" s="22">
        <f t="shared" ref="F18" si="17">SUM(F6:F17)</f>
        <v>0</v>
      </c>
      <c r="G18" s="22">
        <f t="shared" ref="G18" si="18">SUM(G6:G17)</f>
        <v>25119440</v>
      </c>
      <c r="H18" s="22">
        <f t="shared" ref="H18" si="19">SUM(H6:H17)</f>
        <v>0</v>
      </c>
      <c r="I18" s="22">
        <f t="shared" ref="I18" si="20">SUM(I6:I17)</f>
        <v>5546967</v>
      </c>
      <c r="J18" s="23">
        <f t="shared" ref="J18" si="21">SUM(J6:J17)</f>
        <v>27280727</v>
      </c>
      <c r="K18" s="22">
        <f t="shared" ref="K18" si="22">SUM(K6:K17)</f>
        <v>30666407</v>
      </c>
      <c r="L18" s="23">
        <f t="shared" ref="L18" si="23">SUM(L6:L17)</f>
        <v>30777640</v>
      </c>
      <c r="M18" s="22">
        <f t="shared" ref="M18" si="24">SUM(M6:M17)</f>
        <v>35226734</v>
      </c>
      <c r="N18" s="23">
        <f t="shared" ref="N18" si="25">SUM(N6:N17)</f>
        <v>1937893.7135509697</v>
      </c>
      <c r="O18" s="22">
        <f t="shared" ref="O18" si="26">SUM(O6:O17)</f>
        <v>2674105</v>
      </c>
      <c r="P18" s="23">
        <f t="shared" ref="P18" si="27">SUM(P6:P17)</f>
        <v>4370607.8100000005</v>
      </c>
      <c r="Q18" s="22">
        <f t="shared" ref="Q18" si="28">SUM(Q6:Q17)</f>
        <v>865130</v>
      </c>
      <c r="R18" s="23">
        <f t="shared" ref="R18" si="29">SUM(R6:R17)</f>
        <v>30777640</v>
      </c>
      <c r="S18" s="22">
        <f t="shared" ref="S18" si="30">SUM(S6:S17)</f>
        <v>35226734</v>
      </c>
      <c r="T18" s="23">
        <f>SUM(T6:T17)</f>
        <v>36463298.966710001</v>
      </c>
      <c r="U18" s="22">
        <f t="shared" ref="U18" si="31">SUM(U6:U17)</f>
        <v>36394460</v>
      </c>
      <c r="V18" s="23">
        <f t="shared" ref="V18" si="32">SUM(V6:V17)</f>
        <v>1315051.1567099995</v>
      </c>
      <c r="W18" s="22">
        <f>SUM(W6:W17)</f>
        <v>289700</v>
      </c>
      <c r="X18" s="22">
        <f t="shared" ref="X18:AB18" si="33">SUM(X6:X17)</f>
        <v>1559019.286449031</v>
      </c>
      <c r="Y18" s="22">
        <f t="shared" si="33"/>
        <v>10128940</v>
      </c>
      <c r="Z18" s="22">
        <f t="shared" si="33"/>
        <v>12226359.883427899</v>
      </c>
      <c r="AA18" s="22">
        <f t="shared" si="33"/>
        <v>0</v>
      </c>
      <c r="AB18" s="22">
        <f t="shared" si="33"/>
        <v>5685658.9667099994</v>
      </c>
      <c r="AC18" s="22">
        <f>SUM(AC6:AC17)</f>
        <v>1154830</v>
      </c>
    </row>
    <row r="19" spans="1:60" hidden="1">
      <c r="C19" s="4"/>
      <c r="D19" s="4"/>
      <c r="E19" s="4"/>
      <c r="J19" s="8"/>
      <c r="K19" s="8"/>
      <c r="T19" s="5"/>
    </row>
    <row r="20" spans="1:60" hidden="1"/>
    <row r="21" spans="1:60" s="2" customFormat="1" hidden="1">
      <c r="B21" s="2">
        <v>20648700</v>
      </c>
      <c r="D21" s="2">
        <f>B18+D18</f>
        <v>27280727</v>
      </c>
      <c r="F21" s="2">
        <v>22344551.059999999</v>
      </c>
      <c r="H21" s="2">
        <v>4936176</v>
      </c>
      <c r="L21" s="2">
        <v>30777639.989999998</v>
      </c>
      <c r="M21" s="6">
        <f>L21/M18</f>
        <v>0.87370120630541559</v>
      </c>
      <c r="N21" s="2">
        <v>1940227.21</v>
      </c>
      <c r="P21" s="2">
        <v>4370607.8099999996</v>
      </c>
      <c r="T21" s="2">
        <v>36463299.210000001</v>
      </c>
      <c r="V21" s="2">
        <v>1315051.4099999999</v>
      </c>
      <c r="W21" s="7">
        <f>V21/W18</f>
        <v>4.5393559199171554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0" hidden="1"/>
    <row r="23" spans="1:60" hidden="1">
      <c r="S23" t="s">
        <v>19</v>
      </c>
    </row>
    <row r="24" spans="1:60" hidden="1">
      <c r="D24" s="5">
        <f>B18+D18</f>
        <v>27280727</v>
      </c>
      <c r="E24" s="1">
        <f>F21+H21</f>
        <v>27280727.059999999</v>
      </c>
      <c r="P24" s="1"/>
      <c r="T24" s="5"/>
    </row>
    <row r="25" spans="1:60" hidden="1">
      <c r="B25" s="1"/>
    </row>
    <row r="26" spans="1:60" hidden="1">
      <c r="U26" s="5"/>
      <c r="V26" s="1"/>
    </row>
    <row r="27" spans="1:60">
      <c r="B27" s="1"/>
    </row>
    <row r="28" spans="1:60">
      <c r="D28" s="1"/>
      <c r="R28" s="1"/>
      <c r="T28" s="5"/>
    </row>
    <row r="29" spans="1:60">
      <c r="W29" s="1"/>
    </row>
    <row r="30" spans="1:60">
      <c r="U30" s="1"/>
    </row>
    <row r="31" spans="1:60">
      <c r="W31" s="5"/>
    </row>
    <row r="32" spans="1:60">
      <c r="N32" s="2"/>
      <c r="U32" s="1"/>
      <c r="AB32" t="s">
        <v>20</v>
      </c>
    </row>
    <row r="34" spans="13:21">
      <c r="S34" s="1"/>
    </row>
    <row r="36" spans="13:21">
      <c r="M36" s="5"/>
      <c r="U36" s="5"/>
    </row>
    <row r="37" spans="13:21">
      <c r="S37" s="1"/>
    </row>
  </sheetData>
  <mergeCells count="12">
    <mergeCell ref="V4:W4"/>
    <mergeCell ref="B4:C4"/>
    <mergeCell ref="Y4:Z4"/>
    <mergeCell ref="D4:E4"/>
    <mergeCell ref="J4:K4"/>
    <mergeCell ref="R4:S4"/>
    <mergeCell ref="F4:G4"/>
    <mergeCell ref="H4:I4"/>
    <mergeCell ref="L4:M4"/>
    <mergeCell ref="N4:O4"/>
    <mergeCell ref="P4:Q4"/>
    <mergeCell ref="T4:U4"/>
  </mergeCells>
  <pageMargins left="0.39370078740157483" right="0.35433070866141736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2020-06-04T08:30:26Z</dcterms:modified>
</cp:coreProperties>
</file>